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78C1207B-BA18-4C08-A024-9C1283905E1E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<sst xmlns="http://schemas.openxmlformats.org/spreadsheetml/2006/main" count="292" uniqueCount="207">
  <si>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</si>
  <si>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</si>
  <si>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</si>
  <si>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</si>
  <si>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</si>
  <si>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</si>
  <si>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</si>
  <si>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</si>
  <si>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</si>
  <si>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</si>
  <si>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</si>
  <si>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</si>
  <si>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</si>
  <si>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</si>
  <si>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</si>
  <si>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</si>
  <si>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</si>
  <si>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</si>
  <si>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</si>
  <si>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</si>
  <si>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</si>
  <si>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</si>
  <si>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</si>
  <si>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</si>
  <si>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</si>
  <si>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</si>
  <si>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</si>
  <si>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</si>
  <si>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</si>
  <si>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</si>
  <si>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</si>
  <si>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</si>
  <si>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</si>
  <si>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</si>
  <si>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</si>
  <si>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</si>
  <si>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</si>
  <si>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</si>
  <si>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</si>
  <si>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</si>
  <si>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</si>
  <si>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</si>
  <si>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</si>
  <si>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</si>
  <si>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</si>
  <si>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</si>
  <si>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</si>
  <si>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</si>
  <si>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</si>
  <si>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</si>
  <si>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</si>
  <si>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</si>
  <si>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</si>
  <si>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</si>
  <si>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</si>
  <si>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</si>
  <si>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</si>
  <si>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</si>
  <si>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</si>
  <si>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</si>
  <si>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</si>
  <si>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</si>
  <si>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</si>
  <si>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</si>
  <si>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</si>
  <si>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</si>
  <si>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</si>
  <si>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</si>
  <si>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</si>
  <si>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</si>
  <si>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</si>
  <si>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</si>
  <si>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</si>
  <si>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</si>
  <si>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</si>
  <si>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</si>
  <si>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</si>
  <si>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</si>
  <si>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</si>
  <si>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</si>
  <si>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</si>
  <si>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</si>
  <si>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</si>
  <si>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</si>
  <si>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</si>
  <si>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</si>
  <si>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</si>
  <si>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</si>
  <si>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</si>
  <si>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</si>
  <si>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</si>
  <si>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</si>
  <si>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</si>
  <si>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</si>
  <si>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</si>
  <si>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</si>
  <si>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</si>
  <si>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</si>
  <si>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</si>
  <si>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</si>
  <si>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</si>
  <si>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</si>
  <si>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</si>
  <si>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</si>
  <si>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</si>
  <si>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</si>
  <si>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</si>
  <si>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</si>
  <si>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</si>
  <si>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</si>
  <si>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</si>
  <si>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</si>
  <si>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</si>
  <si>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</si>
  <si>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</si>
  <si>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</si>
  <si>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</si>
  <si>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</si>
  <si>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</si>
  <si>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</si>
  <si>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</si>
  <si>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</si>
  <si>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</si>
  <si>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</si>
  <si>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</si>
  <si>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</si>
  <si>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</si>
  <si>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</si>
  <si>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</si>
  <si>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</si>
  <si>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</si>
  <si>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</si>
  <si>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</si>
  <si>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</si>
  <si>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</si>
  <si>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</si>
  <si>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</si>
  <si>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</si>
  <si>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</si>
  <si>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</si>
  <si>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</si>
  <si>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</si>
  <si>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</si>
  <si>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</si>
  <si>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</si>
  <si>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</si>
  <si>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</si>
  <si>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</si>
  <si>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</si>
  <si>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</si>
  <si>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</si>
  <si>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</si>
  <si>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</si>
  <si>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</si>
  <si>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</si>
  <si>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</si>
  <si>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</si>
  <si>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</si>
  <si>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</si>
  <si>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</si>
  <si>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</si>
  <si>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</si>
  <si>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</si>
  <si>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</si>
  <si>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</si>
  <si>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</si>
  <si>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</si>
  <si>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</si>
  <si>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</si>
  <si>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</si>
  <si>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</si>
  <si>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</si>
  <si>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</si>
  <si>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</si>
  <si>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</si>
  <si>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</si>
  <si>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</si>
  <si>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</si>
  <si>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</si>
  <si>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</si>
  <si>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</si>
  <si>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</si>
  <si>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</si>
  <si>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</si>
  <si>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</si>
  <si>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</si>
  <si>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</si>
  <si>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</si>
  <si>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</si>
  <si>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</si>
  <si>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</si>
  <si>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Aßling</t>
  </si>
  <si>
    <t>Stand: 15.02.2023</t>
  </si>
  <si>
    <t>Die Gemeinde Aßling setzt sich folgende Ziele:</t>
  </si>
  <si>
    <t>Aßling</t>
  </si>
  <si>
    <t>Ast</t>
  </si>
  <si>
    <t>Dorfen</t>
  </si>
  <si>
    <t>Loitersdorf</t>
  </si>
  <si>
    <t>Lorenzenberg</t>
  </si>
  <si>
    <t>Martermühle</t>
  </si>
  <si>
    <t>Niclasreuth</t>
  </si>
  <si>
    <t>Obereichhofen</t>
  </si>
  <si>
    <t>Obstädt</t>
  </si>
  <si>
    <t>Pörsdorf</t>
  </si>
  <si>
    <t>Pfadendorf</t>
  </si>
  <si>
    <t>Steinkirchen</t>
  </si>
  <si>
    <t>Untereichhofen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</si>
</sst>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26696</c:v>
                </c:pt>
                <c:pt idx="1">
                  <c:v>24345.164366290646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17757.37</c:v>
                </c:pt>
                <c:pt idx="1">
                  <c:v>23799.062181206671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1393.1</c:v>
                </c:pt>
                <c:pt idx="1">
                  <c:v>1512.2895231720224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16649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29197</c:v>
                </c:pt>
                <c:pt idx="1">
                  <c:v>49656.516070669342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45846</c:v>
                </c:pt>
                <c:pt idx="1">
                  <c:v>49656.516070669342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5532.79</c:v>
                </c:pt>
                <c:pt idx="1">
                  <c:v>4457.9898612330144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7987.24</c:v>
                </c:pt>
                <c:pt idx="1">
                  <c:v>8959.3431535702985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579.86</c:v>
                </c:pt>
                <c:pt idx="1">
                  <c:v>396.94037898065761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10085.696703296702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10079</c:v>
                </c:pt>
                <c:pt idx="1">
                  <c:v>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11259.91</c:v>
                </c:pt>
                <c:pt idx="1">
                  <c:v>13820.970097080673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21338.91</c:v>
                </c:pt>
                <c:pt idx="1">
                  <c:v>23899.970097080673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2764.1940194161348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11917.563856960644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49.657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45.846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8 %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49656.516070669342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49656.516070669342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49656.516070669342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26696</v>
      </c>
      <c r="E78" s="177">
        <f>LOOKUP('Basis-Annahmen'!E5,'Nachfrage &amp; Erzeugung'!D36:G36,'Nachfrage &amp; Erzeugung'!D38:G38)</f>
        <v>24345.164366290646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17757.37</v>
      </c>
      <c r="E79" s="177">
        <f>LOOKUP('Basis-Annahmen'!E5,'Nachfrage &amp; Erzeugung'!D36:G36,'Nachfrage &amp; Erzeugung'!D39:G39)</f>
        <v>23799.062181206671</v>
      </c>
      <c r="F79" s="175"/>
      <c r="G79" s="176" t="s">
        <v>55</v>
      </c>
      <c r="H79" s="177">
        <f>'Nachfrage &amp; Erzeugung'!C46</f>
        <v>16649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1393.1</v>
      </c>
      <c r="E80" s="177">
        <f>LOOKUP('Basis-Annahmen'!E5,'Nachfrage &amp; Erzeugung'!D36:G36,'Nachfrage &amp; Erzeugung'!D40:G40)</f>
        <v>1512.2895231720224</v>
      </c>
      <c r="F80" s="175"/>
      <c r="G80" s="176" t="str">
        <f>'Nachfrage &amp; Erzeugung'!B47</f>
        <v>Nicht erneuerbare Wärmeerzeugung</v>
      </c>
      <c r="H80" s="177">
        <f>MAX(0,H82-H79)</f>
        <v>29197</v>
      </c>
      <c r="I80" s="177">
        <f>MAX(0,I82-I79)</f>
        <v>49656.516070669342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45846</v>
      </c>
      <c r="E82" s="177">
        <f>LOOKUP('Basis-Annahmen'!E5,'Nachfrage &amp; Erzeugung'!D36:G36,'Nachfrage &amp; Erzeugung'!D37:G37)</f>
        <v>49656.516070669342</v>
      </c>
      <c r="F82" s="175"/>
      <c r="G82" s="176" t="s">
        <v>82</v>
      </c>
      <c r="H82" s="177">
        <f>'Nachfrage &amp; Erzeugung'!C37</f>
        <v>45846</v>
      </c>
      <c r="I82" s="177">
        <f>LOOKUP('Basis-Annahmen'!E5,'Nachfrage &amp; Erzeugung'!D36:G36,'Nachfrage &amp; Erzeugung'!D37:G37)</f>
        <v>49656.516070669342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8.3115562331923007E-2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23.900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12 %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42 %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117000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25123.95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169053.84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10079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10079</v>
      </c>
      <c r="G32" s="256"/>
      <c r="H32" s="248">
        <f>SUM(H27:H31)</f>
        <v>311177.79000000004</v>
      </c>
      <c r="I32" s="248"/>
      <c r="J32" s="245">
        <f>IF(H32&gt;0,F32/H32,0)</f>
        <v>3.2389843761021629E-2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5532.79</v>
      </c>
      <c r="E76" s="186">
        <f>LOOKUP('Basis-Annahmen'!E5,'Nachfrage &amp; Erzeugung'!D9:G9,'Nachfrage &amp; Erzeugung'!D11:G11)</f>
        <v>4457.9898612330144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7987.24</v>
      </c>
      <c r="E77" s="186">
        <f>LOOKUP('Basis-Annahmen'!E5,'Nachfrage &amp; Erzeugung'!D9:G9,'Nachfrage &amp; Erzeugung'!D12:G12)</f>
        <v>8959.3431535702985</v>
      </c>
      <c r="F77" s="175"/>
      <c r="G77" s="176" t="s">
        <v>103</v>
      </c>
      <c r="H77" s="186">
        <f>'Nachfrage &amp; Erzeugung'!C21</f>
        <v>10079</v>
      </c>
      <c r="I77" s="186">
        <f>F31</f>
        <v>10079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579.86</v>
      </c>
      <c r="E78" s="186">
        <f>LOOKUP('Basis-Annahmen'!E5,'Nachfrage &amp; Erzeugung'!D9:G9,'Nachfrage &amp; Erzeugung'!D13:G13)</f>
        <v>396.94037898065761</v>
      </c>
      <c r="F78" s="175"/>
      <c r="G78" s="176" t="str">
        <f>'Nachfrage &amp; Erzeugung'!B29</f>
        <v>Nicht aus lokalen EE gedeckter Strombedarf</v>
      </c>
      <c r="H78" s="186">
        <f>'Nachfrage &amp; Erzeugung'!C29</f>
        <v>11259.91</v>
      </c>
      <c r="I78" s="186">
        <f>MAX(0,E82-SUM(I79:I82)-I77)</f>
        <v>13820.970097080673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10085.696703296702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21338.91</v>
      </c>
      <c r="E82" s="186">
        <f>LOOKUP('Basis-Annahmen'!E5,'Nachfrage &amp; Erzeugung'!D9:G9,'Nachfrage &amp; Erzeugung'!D10:G10)</f>
        <v>23899.970097080673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0.12001831851208303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0.42199620595042697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4960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13820.970097080673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2764.1940194161348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0.55729718133389816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49656.516070669342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11917.563856960644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2.402734648580775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1.9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14681.757876376778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2.9600318299146733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2764.1940194161348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11917.563856960644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6.8093385214007783E-3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1.1673151750972763E-2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4550</v>
      </c>
      <c r="F34" s="69">
        <v>4660</v>
      </c>
      <c r="G34" s="69">
        <v>4760</v>
      </c>
      <c r="H34" s="69">
        <v>4860</v>
      </c>
      <c r="I34" s="70">
        <v>4960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2.4175824175824177E-2</v>
      </c>
      <c r="G36" s="67">
        <f>(G34-F34)/F34</f>
        <v>2.1459227467811159E-2</v>
      </c>
      <c r="H36" s="67">
        <f>(H34-G34)/G34</f>
        <v>2.100840336134454E-2</v>
      </c>
      <c r="I36" s="68">
        <f>(I34-H34)/H34</f>
        <v>2.0576131687242798E-2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48.873921698739217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0.67780219780219775</v>
      </c>
      <c r="F44" s="73">
        <f>E44*(1+(F13*(F43-E43)))</f>
        <v>0.67780219780219775</v>
      </c>
      <c r="G44" s="73">
        <f t="shared" ref="G44:I44" si="0">F44*(1+(G13*(G43-F43)))</f>
        <v>0.67780219780219775</v>
      </c>
      <c r="H44" s="73">
        <f t="shared" si="0"/>
        <v>0.67780219780219775</v>
      </c>
      <c r="I44" s="190">
        <f t="shared" si="0"/>
        <v>0.67780219780219775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3084</v>
      </c>
      <c r="F45" s="36">
        <f>F44*F34</f>
        <v>3158.5582417582414</v>
      </c>
      <c r="G45" s="36">
        <f t="shared" ref="G45:I45" si="1">G44*G34</f>
        <v>3226.3384615384612</v>
      </c>
      <c r="H45" s="36">
        <f t="shared" si="1"/>
        <v>3294.118681318681</v>
      </c>
      <c r="I45" s="74">
        <f t="shared" si="1"/>
        <v>3361.8989010989008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21</v>
      </c>
      <c r="F46" s="36">
        <f>F$45*F$14</f>
        <v>157.92791208791209</v>
      </c>
      <c r="G46" s="36">
        <f>G$45*G$14</f>
        <v>967.90153846153828</v>
      </c>
      <c r="H46" s="36">
        <f>H$45*H$14</f>
        <v>1976.4712087912085</v>
      </c>
      <c r="I46" s="74">
        <f>I$45*I$14</f>
        <v>3361.8989010989008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36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21338.91</v>
      </c>
      <c r="D10" s="94">
        <f>D11+D12+D13+D14+D15</f>
        <v>13986.080186062003</v>
      </c>
      <c r="E10" s="94">
        <f>E11+E12+E13+E14+D15</f>
        <v>16482.608609901261</v>
      </c>
      <c r="F10" s="94">
        <f>F11+F12+F13+F14+D15</f>
        <v>19608.856604851553</v>
      </c>
      <c r="G10" s="95">
        <f>G11+G12+G13+G14+D15</f>
        <v>23899.970097080673</v>
      </c>
      <c r="H10" s="14"/>
    </row>
    <row r="11" spans="1:8" ht="19.5" customHeight="1" x14ac:dyDescent="0.2">
      <c r="B11" s="88" t="s">
        <v>6</v>
      </c>
      <c r="C11" s="96">
        <v>5532.79</v>
      </c>
      <c r="D11" s="97">
        <f>C11/'Basis-Annahmen'!E34*((1-'Basis-Annahmen'!F19)^(D9-C9))*'Basis-Annahmen'!F34</f>
        <v>5254.1184473177009</v>
      </c>
      <c r="E11" s="97">
        <f>D11/'Basis-Annahmen'!F34*((1-'Basis-Annahmen'!G19)^5)*'Basis-Annahmen'!G34</f>
        <v>4976.2483625635932</v>
      </c>
      <c r="F11" s="97">
        <f>E11/'Basis-Annahmen'!G34*((1-'Basis-Annahmen'!H19)^5)*'Basis-Annahmen'!H34</f>
        <v>4710.9936268833981</v>
      </c>
      <c r="G11" s="98">
        <f>F11/'Basis-Annahmen'!H34*((1-'Basis-Annahmen'!I19)^5)*'Basis-Annahmen'!I34</f>
        <v>4457.9898612330144</v>
      </c>
      <c r="H11" s="14"/>
    </row>
    <row r="12" spans="1:8" ht="19.5" customHeight="1" x14ac:dyDescent="0.2">
      <c r="B12" s="88" t="s">
        <v>104</v>
      </c>
      <c r="C12" s="96">
        <v>7987.24</v>
      </c>
      <c r="D12" s="97">
        <f>((1-'Basis-Annahmen'!F20)^(D9-C9))*((1+'Basis-Annahmen'!F9)^(D9-C9))*C12</f>
        <v>7760.2324903381641</v>
      </c>
      <c r="E12" s="97">
        <f>((1-'Basis-Annahmen'!G20)^5)*((1+'Basis-Annahmen'!G9)^5)*D12</f>
        <v>8140.9523358157185</v>
      </c>
      <c r="F12" s="97">
        <f>((1-'Basis-Annahmen'!H20)^5)*((1+'Basis-Annahmen'!H9)^5)*E12</f>
        <v>8540.3504362193871</v>
      </c>
      <c r="G12" s="98">
        <f>((1-'Basis-Annahmen'!I20)^5)*((1+'Basis-Annahmen'!I9)^5)*F12</f>
        <v>8959.3431535702985</v>
      </c>
      <c r="H12" s="14"/>
    </row>
    <row r="13" spans="1:8" ht="19.5" customHeight="1" x14ac:dyDescent="0.2">
      <c r="B13" s="88" t="s">
        <v>7</v>
      </c>
      <c r="C13" s="96">
        <v>579.86</v>
      </c>
      <c r="D13" s="97">
        <f>C13*((1-'Basis-Annahmen'!F20)^(D9-C9))</f>
        <v>497.94551214240198</v>
      </c>
      <c r="E13" s="97">
        <f>D13*((1-'Basis-Annahmen'!G20)^5)</f>
        <v>461.70329613733782</v>
      </c>
      <c r="F13" s="97">
        <f>E13*((1-'Basis-Annahmen'!H20)^5)</f>
        <v>428.09891537514278</v>
      </c>
      <c r="G13" s="98">
        <f>F13*((1-'Basis-Annahmen'!I20)^5)</f>
        <v>396.94037898065761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473.78373626373627</v>
      </c>
      <c r="E14" s="97">
        <f>'Basis-Annahmen'!G46*'Basis-Annahmen'!G51+'Basis-Annahmen'!G47*'Basis-Annahmen'!G52</f>
        <v>2903.704615384615</v>
      </c>
      <c r="F14" s="97">
        <f>'Basis-Annahmen'!H46*'Basis-Annahmen'!H51+'Basis-Annahmen'!H47*'Basis-Annahmen'!H52</f>
        <v>5929.4136263736254</v>
      </c>
      <c r="G14" s="98">
        <f>'Basis-Annahmen'!I46*'Basis-Annahmen'!I51+'Basis-Annahmen'!I47*'Basis-Annahmen'!I52</f>
        <v>10085.696703296702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-0.34457382377722184</v>
      </c>
      <c r="E16" s="101">
        <f>(E10-$C$10)/$C$10</f>
        <v>-0.22757963692141439</v>
      </c>
      <c r="F16" s="101">
        <f t="shared" ref="F16" si="0">(F10-$C$10)/$C$10</f>
        <v>-8.1075059370344912E-2</v>
      </c>
      <c r="G16" s="102">
        <f>(G10-$C$10)/$C$10</f>
        <v>0.12001831851208303</v>
      </c>
      <c r="H16" s="14"/>
    </row>
    <row r="17" spans="1:10" ht="19.5" customHeight="1" x14ac:dyDescent="0.2">
      <c r="B17" s="89" t="s">
        <v>97</v>
      </c>
      <c r="C17" s="107"/>
      <c r="D17" s="104">
        <f>D14/D10</f>
        <v>3.3875376800419833E-2</v>
      </c>
      <c r="E17" s="104">
        <f>E14/E10</f>
        <v>0.17616778291030533</v>
      </c>
      <c r="F17" s="104">
        <f>F14/F10</f>
        <v>0.30238446564531413</v>
      </c>
      <c r="G17" s="105">
        <f>G14/G10</f>
        <v>0.42199620595042697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10079</v>
      </c>
      <c r="G21" s="111"/>
    </row>
    <row r="22" spans="1:10" s="14" customFormat="1" ht="19.5" customHeight="1" x14ac:dyDescent="0.2">
      <c r="B22" s="110" t="s">
        <v>14</v>
      </c>
      <c r="C22" s="122">
        <v>125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3575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6379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11259.91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45846</v>
      </c>
      <c r="D37" s="94">
        <f>SUM(D38:D40)</f>
        <v>46771.562870931586</v>
      </c>
      <c r="E37" s="94">
        <f>SUM(E38:E40)</f>
        <v>47669.091268876909</v>
      </c>
      <c r="F37" s="94">
        <f t="shared" ref="F37:G37" si="1">SUM(F38:F40)</f>
        <v>48603.514078138483</v>
      </c>
      <c r="G37" s="95">
        <f t="shared" si="1"/>
        <v>49656.516070669342</v>
      </c>
      <c r="H37" s="14"/>
    </row>
    <row r="38" spans="1:8" ht="19.5" customHeight="1" x14ac:dyDescent="0.2">
      <c r="A38" s="14"/>
      <c r="B38" s="113" t="s">
        <v>6</v>
      </c>
      <c r="C38" s="96">
        <v>26696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26240.250680159257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25657.429163901794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25001.29676509622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24345.164366290646</v>
      </c>
      <c r="H38" s="14"/>
    </row>
    <row r="39" spans="1:8" ht="19.5" customHeight="1" x14ac:dyDescent="0.2">
      <c r="A39" s="14"/>
      <c r="B39" s="113" t="s">
        <v>104</v>
      </c>
      <c r="C39" s="96">
        <v>17757.37</v>
      </c>
      <c r="D39" s="97">
        <f>C39*((1-'Basis-Annahmen'!F$24)^(D36-C36))*((1+'Basis-Annahmen'!F$9)^(D36-C36))</f>
        <v>19106.183472918103</v>
      </c>
      <c r="E39" s="97">
        <f>((1-'Basis-Annahmen'!G$24)^5)*((1+'Basis-Annahmen'!G$9)^5)*'Nachfrage &amp; Erzeugung'!D39</f>
        <v>20557.450055994152</v>
      </c>
      <c r="F39" s="97">
        <f>((1-'Basis-Annahmen'!H$24)^5)*((1+'Basis-Annahmen'!H$9)^5)*'Nachfrage &amp; Erzeugung'!E39</f>
        <v>22118.951877737232</v>
      </c>
      <c r="G39" s="98">
        <f>((1-'Basis-Annahmen'!I$24)^5)*((1+'Basis-Annahmen'!I$9)^5)*'Nachfrage &amp; Erzeugung'!F39</f>
        <v>23799.062181206671</v>
      </c>
      <c r="H39" s="14"/>
    </row>
    <row r="40" spans="1:8" ht="19.5" customHeight="1" x14ac:dyDescent="0.2">
      <c r="A40" s="14"/>
      <c r="B40" s="113" t="s">
        <v>7</v>
      </c>
      <c r="C40" s="96">
        <v>1393.1</v>
      </c>
      <c r="D40" s="97">
        <f>C40+(C40*'Basis-Annahmen'!F36)*((1-'Basis-Annahmen'!F24)^(D36-C36))</f>
        <v>1425.1287178542254</v>
      </c>
      <c r="E40" s="97">
        <f>D40+(D40*'Basis-Annahmen'!G36)*((1-'Basis-Annahmen'!G24)^5)</f>
        <v>1454.2120489809661</v>
      </c>
      <c r="F40" s="97">
        <f>E40+(E40*'Basis-Annahmen'!H36)*((1-'Basis-Annahmen'!H24)^5)</f>
        <v>1483.2654353050332</v>
      </c>
      <c r="G40" s="98">
        <f>F40+(F40*'Basis-Annahmen'!I36)*((1-'Basis-Annahmen'!I24)^5)</f>
        <v>1512.2895231720224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2.0188519629446105E-2</v>
      </c>
      <c r="E42" s="104">
        <f>(E37-$C$37)/$C$37</f>
        <v>3.9765547024318573E-2</v>
      </c>
      <c r="F42" s="104">
        <f>(F37-$C$37)/$C$37</f>
        <v>6.0147320990674942E-2</v>
      </c>
      <c r="G42" s="105">
        <f>(G37-$C$37)/$C$37</f>
        <v>8.3115562331923007E-2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16649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29197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0.55034000167641361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7.8035173333260779E-3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5.6956037802996531E-2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6.4584351132725704E-2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5.6589225169160366E-2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1.4009713093606192E-2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5.7198285394253215E-2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3.1908180988925956E-2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 t="s">
        <v>202</v>
      </c>
      <c r="C60" s="167">
        <v>2.9314905868859632E-2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 t="s">
        <v>203</v>
      </c>
      <c r="C61" s="167">
        <v>4.408052731627822E-2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 t="s">
        <v>204</v>
      </c>
      <c r="C62" s="167">
        <v>2.7342609833914573E-2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 t="s">
        <v>205</v>
      </c>
      <c r="C63" s="167">
        <v>3.0519439466377089E-2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 t="s">
        <v>206</v>
      </c>
      <c r="C64" s="167">
        <v>2.9353204923162866E-2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1.0000000000000002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1.0000000000000002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117000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13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25123.95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167493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169053.84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234.797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